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00" yWindow="460" windowWidth="36940" windowHeight="28340" activeTab="0"/>
  </bookViews>
  <sheets>
    <sheet name="Heifer Replac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<sst xmlns="http://schemas.openxmlformats.org/spreadsheetml/2006/main" count="25" uniqueCount="19">
  <si>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Herd Size</t>
  </si>
  <si>
    <t>Calf-Heifer Culling Rate</t>
  </si>
  <si>
    <t>(%/year)</t>
  </si>
  <si>
    <t>(month)</t>
  </si>
  <si>
    <t>(# Adult Cow)</t>
  </si>
  <si>
    <t>Required Replacement Animals</t>
  </si>
  <si>
    <t>(# Animals)</t>
  </si>
  <si>
    <t>Heifer</t>
  </si>
  <si>
    <t>Calf-</t>
  </si>
  <si>
    <t>Culling</t>
  </si>
  <si>
    <t>Rate</t>
  </si>
  <si>
    <t>Herd Culling Rate</t>
  </si>
  <si>
    <t xml:space="preserve">Age </t>
  </si>
  <si>
    <t>to</t>
  </si>
  <si>
    <t>Adult Cow Culling Rate</t>
  </si>
  <si>
    <t>Cow Culling Rate</t>
  </si>
  <si>
    <t>Average Age to Pregnancy</t>
  </si>
  <si>
    <t>Pregancy</t>
  </si>
  <si>
    <t>Pregnancy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</si>
</sst>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"/>
    <numFmt numFmtId="181" formatCode="0.0"/>
    <numFmt numFmtId="182" formatCode="0.0000%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sz val="12"/>
      <color indexed="8"/>
      <name val="Calibri"/>
      <family val="0"/>
    </font>
    <font>
      <b/>
      <sz val="9.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1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4" borderId="0" xfId="0" applyFill="1" applyBorder="1" applyAlignment="1">
      <alignment/>
    </xf>
    <xf numFmtId="184" fontId="2" fillId="0" borderId="10" xfId="42" applyNumberFormat="1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Calf-Heifer 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Culling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Rate</a:t>
            </a:r>
          </a:p>
        </c:rich>
      </c:tx>
      <c:layout>
        <c:manualLayout>
          <c:xMode val="factor"/>
          <c:yMode val="factor"/>
          <c:x val="0.39075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0525"/>
          <c:w val="0.727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Replacement'!$B$22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Replacement'!$C$22:$G$22</c:f>
              <c:numCache/>
            </c:numRef>
          </c:val>
        </c:ser>
        <c:ser>
          <c:idx val="1"/>
          <c:order val="1"/>
          <c:tx>
            <c:strRef>
              <c:f>'Heifer Replacement'!$B$23</c:f>
              <c:strCache>
                <c:ptCount val="1"/>
                <c:pt idx="0">
                  <c:v>12%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Replacement'!$C$23:$G$23</c:f>
              <c:numCache/>
            </c:numRef>
          </c:val>
        </c:ser>
        <c:ser>
          <c:idx val="2"/>
          <c:order val="2"/>
          <c:tx>
            <c:strRef>
              <c:f>'Heifer Replacement'!$B$24</c:f>
              <c:strCache>
                <c:ptCount val="1"/>
                <c:pt idx="0">
                  <c:v>14%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Replacement'!$C$24:$G$24</c:f>
              <c:numCache/>
            </c:numRef>
          </c:val>
        </c:ser>
        <c:ser>
          <c:idx val="3"/>
          <c:order val="3"/>
          <c:tx>
            <c:strRef>
              <c:f>'Heifer Replacement'!$B$25</c:f>
              <c:strCache>
                <c:ptCount val="1"/>
                <c:pt idx="0">
                  <c:v>16%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Replacement'!$C$25:$G$25</c:f>
              <c:numCache/>
            </c:numRef>
          </c:val>
        </c:ser>
        <c:ser>
          <c:idx val="4"/>
          <c:order val="4"/>
          <c:tx>
            <c:strRef>
              <c:f>'Heifer Replacement'!$B$26</c:f>
              <c:strCache>
                <c:ptCount val="1"/>
                <c:pt idx="0">
                  <c:v>18%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Replacement'!$C$26:$G$26</c:f>
              <c:numCache/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1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34375"/>
          <c:w val="0.109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4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04"/>
          <c:w val="0.71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Replacement'!$B$31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Replacement'!$C$31:$G$31</c:f>
              <c:numCache/>
            </c:numRef>
          </c:val>
        </c:ser>
        <c:ser>
          <c:idx val="1"/>
          <c:order val="1"/>
          <c:tx>
            <c:strRef>
              <c:f>'Heifer Replacement'!$B$32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Replacement'!$C$32:$G$32</c:f>
              <c:numCache/>
            </c:numRef>
          </c:val>
        </c:ser>
        <c:ser>
          <c:idx val="2"/>
          <c:order val="2"/>
          <c:tx>
            <c:strRef>
              <c:f>'Heifer Replacement'!$B$33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Replacement'!$C$33:$G$33</c:f>
              <c:numCache/>
            </c:numRef>
          </c:val>
        </c:ser>
        <c:ser>
          <c:idx val="3"/>
          <c:order val="3"/>
          <c:tx>
            <c:strRef>
              <c:f>'Heifer Replacement'!$B$34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Replacement'!$C$34:$G$34</c:f>
              <c:numCache/>
            </c:numRef>
          </c:val>
        </c:ser>
        <c:ser>
          <c:idx val="4"/>
          <c:order val="4"/>
          <c:tx>
            <c:strRef>
              <c:f>'Heifer Replacement'!$B$35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Replacement'!$C$35:$G$35</c:f>
              <c:numCache/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1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34375"/>
          <c:w val="0.101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6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1825"/>
          <c:w val="0.72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Replacement'!$B$40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Replacement'!$C$40:$G$40</c:f>
              <c:numCache/>
            </c:numRef>
          </c:val>
        </c:ser>
        <c:ser>
          <c:idx val="1"/>
          <c:order val="1"/>
          <c:tx>
            <c:strRef>
              <c:f>'Heifer Replacement'!$B$41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Replacement'!$C$41:$G$41</c:f>
              <c:numCache/>
            </c:numRef>
          </c:val>
        </c:ser>
        <c:ser>
          <c:idx val="2"/>
          <c:order val="2"/>
          <c:tx>
            <c:strRef>
              <c:f>'Heifer Replacement'!$B$42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Replacement'!$C$42:$G$42</c:f>
              <c:numCache/>
            </c:numRef>
          </c:val>
        </c:ser>
        <c:ser>
          <c:idx val="3"/>
          <c:order val="3"/>
          <c:tx>
            <c:strRef>
              <c:f>'Heifer Replacement'!$B$43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Replacement'!$C$43:$G$43</c:f>
              <c:numCache/>
            </c:numRef>
          </c:val>
        </c:ser>
        <c:ser>
          <c:idx val="4"/>
          <c:order val="4"/>
          <c:tx>
            <c:strRef>
              <c:f>'Heifer Replacement'!$B$44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Replacement'!$C$44:$G$44</c:f>
              <c:numCache/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Calf-Heifer Culling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17653"/>
        <c:crosses val="autoZero"/>
        <c:auto val="1"/>
        <c:lblOffset val="100"/>
        <c:tickLblSkip val="1"/>
        <c:noMultiLvlLbl val="0"/>
      </c:cat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225"/>
          <c:w val="0.1012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hyperlink" Target="http://www.uwex.edu/ces/dairymgt/" TargetMode="Externa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17145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57475" y="790575"/>
          <a:ext cx="22764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Replacement</a:t>
          </a:r>
        </a:p>
      </xdr:txBody>
    </xdr:sp>
    <xdr:clientData/>
  </xdr:twoCellAnchor>
  <xdr:twoCellAnchor>
    <xdr:from>
      <xdr:col>7</xdr:col>
      <xdr:colOff>38100</xdr:colOff>
      <xdr:row>8</xdr:row>
      <xdr:rowOff>0</xdr:rowOff>
    </xdr:from>
    <xdr:to>
      <xdr:col>11</xdr:col>
      <xdr:colOff>571500</xdr:colOff>
      <xdr:row>20</xdr:row>
      <xdr:rowOff>133350</xdr:rowOff>
    </xdr:to>
    <xdr:graphicFrame>
      <xdr:nvGraphicFramePr>
        <xdr:cNvPr id="4" name="Chart 9"/>
        <xdr:cNvGraphicFramePr/>
      </xdr:nvGraphicFramePr>
      <xdr:xfrm>
        <a:off x="4248150" y="1333500"/>
        <a:ext cx="29241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21</xdr:row>
      <xdr:rowOff>28575</xdr:rowOff>
    </xdr:from>
    <xdr:to>
      <xdr:col>11</xdr:col>
      <xdr:colOff>571500</xdr:colOff>
      <xdr:row>34</xdr:row>
      <xdr:rowOff>0</xdr:rowOff>
    </xdr:to>
    <xdr:graphicFrame>
      <xdr:nvGraphicFramePr>
        <xdr:cNvPr id="5" name="Chart 10"/>
        <xdr:cNvGraphicFramePr/>
      </xdr:nvGraphicFramePr>
      <xdr:xfrm>
        <a:off x="4248150" y="3467100"/>
        <a:ext cx="292417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33</xdr:row>
      <xdr:rowOff>123825</xdr:rowOff>
    </xdr:from>
    <xdr:to>
      <xdr:col>12</xdr:col>
      <xdr:colOff>0</xdr:colOff>
      <xdr:row>50</xdr:row>
      <xdr:rowOff>28575</xdr:rowOff>
    </xdr:to>
    <xdr:graphicFrame>
      <xdr:nvGraphicFramePr>
        <xdr:cNvPr id="6" name="Chart 11"/>
        <xdr:cNvGraphicFramePr/>
      </xdr:nvGraphicFramePr>
      <xdr:xfrm>
        <a:off x="4257675" y="5505450"/>
        <a:ext cx="29337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49</xdr:row>
      <xdr:rowOff>9525</xdr:rowOff>
    </xdr:from>
    <xdr:ext cx="7105650" cy="647700"/>
    <xdr:sp>
      <xdr:nvSpPr>
        <xdr:cNvPr id="7" name="TextBox 18">
          <a:hlinkClick r:id="rId6"/>
        </xdr:cNvPr>
        <xdr:cNvSpPr txBox="1">
          <a:spLocks noChangeArrowheads="1"/>
        </xdr:cNvSpPr>
      </xdr:nvSpPr>
      <xdr:spPr>
        <a:xfrm>
          <a:off x="0" y="7991475"/>
          <a:ext cx="71056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 editAs="oneCell">
    <xdr:from>
      <xdr:col>11</xdr:col>
      <xdr:colOff>85725</xdr:colOff>
      <xdr:row>1</xdr:row>
      <xdr:rowOff>9525</xdr:rowOff>
    </xdr:from>
    <xdr:to>
      <xdr:col>11</xdr:col>
      <xdr:colOff>561975</xdr:colOff>
      <xdr:row>5</xdr:row>
      <xdr:rowOff>0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180975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30" zoomScaleNormal="130" workbookViewId="0" topLeftCell="A1">
      <selection activeCell="O27" sqref="O27"/>
    </sheetView>
  </sheetViews>
  <sheetFormatPr defaultColWidth="8.8515625" defaultRowHeight="12.75"/>
  <cols>
    <col min="1" max="1" width="10.00390625" style="0" customWidth="1"/>
    <col min="2" max="9" width="8.8515625" style="0" customWidth="1"/>
    <col min="10" max="10" width="9.28125" style="0" bestFit="1" customWidth="1"/>
  </cols>
  <sheetData>
    <row r="1" ht="13.5" thickBot="1"/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5">
        <f ca="1">TODAY()</f>
        <v>43060</v>
      </c>
    </row>
    <row r="8" ht="13.5" thickBot="1"/>
    <row r="9" spans="1:12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9"/>
      <c r="B12" s="10" t="s">
        <v>0</v>
      </c>
      <c r="C12" s="10"/>
      <c r="D12" s="10"/>
      <c r="E12" s="10" t="s">
        <v>4</v>
      </c>
      <c r="F12" s="10"/>
      <c r="G12" s="4">
        <v>100</v>
      </c>
      <c r="H12" s="10"/>
      <c r="I12" s="10"/>
      <c r="J12" s="10"/>
      <c r="K12" s="10"/>
      <c r="L12" s="11"/>
    </row>
    <row r="13" spans="1:12" ht="12.75">
      <c r="A13" s="9"/>
      <c r="B13" s="10" t="s">
        <v>1</v>
      </c>
      <c r="C13" s="10"/>
      <c r="D13" s="10"/>
      <c r="E13" s="10" t="s">
        <v>2</v>
      </c>
      <c r="F13" s="10"/>
      <c r="G13" s="5">
        <v>0.14</v>
      </c>
      <c r="H13" s="10"/>
      <c r="I13" s="10"/>
      <c r="J13" s="10"/>
      <c r="K13" s="10"/>
      <c r="L13" s="11"/>
    </row>
    <row r="14" spans="1:12" ht="12.75">
      <c r="A14" s="9"/>
      <c r="B14" s="25" t="s">
        <v>16</v>
      </c>
      <c r="C14" s="25"/>
      <c r="D14" s="25"/>
      <c r="E14" s="25" t="s">
        <v>3</v>
      </c>
      <c r="F14" s="25"/>
      <c r="G14" s="26">
        <v>16.7</v>
      </c>
      <c r="H14" s="21"/>
      <c r="I14" s="10"/>
      <c r="J14" s="10"/>
      <c r="K14" s="10"/>
      <c r="L14" s="11"/>
    </row>
    <row r="15" spans="1:12" ht="12.75">
      <c r="A15" s="9"/>
      <c r="B15" s="16" t="s">
        <v>14</v>
      </c>
      <c r="C15" s="10"/>
      <c r="D15" s="10"/>
      <c r="E15" s="10" t="s">
        <v>2</v>
      </c>
      <c r="F15" s="10"/>
      <c r="G15" s="5">
        <v>0.3</v>
      </c>
      <c r="H15" s="10"/>
      <c r="I15" s="10"/>
      <c r="J15" s="10"/>
      <c r="K15" s="10"/>
      <c r="L15" s="11"/>
    </row>
    <row r="16" spans="1:12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2.75">
      <c r="A17" s="9"/>
      <c r="B17" s="10" t="s">
        <v>5</v>
      </c>
      <c r="C17" s="10"/>
      <c r="D17" s="10"/>
      <c r="E17" s="10" t="s">
        <v>6</v>
      </c>
      <c r="F17" s="10"/>
      <c r="G17" s="3">
        <f>($G$12*G$15*($G$14+9.3)/12)*(1/(1-(($G13/12)*($G$14+9.3))))</f>
        <v>93.30143540669856</v>
      </c>
      <c r="H17" s="10"/>
      <c r="I17" s="17"/>
      <c r="J17" s="10"/>
      <c r="K17" s="10"/>
      <c r="L17" s="11"/>
    </row>
    <row r="18" spans="1:12" ht="12.75">
      <c r="A18" s="9"/>
      <c r="B18" s="10"/>
      <c r="C18" s="10"/>
      <c r="D18" s="10"/>
      <c r="E18" s="10"/>
      <c r="F18" s="10"/>
      <c r="G18" s="10"/>
      <c r="H18" s="10"/>
      <c r="I18" s="17"/>
      <c r="J18" s="18"/>
      <c r="K18" s="10"/>
      <c r="L18" s="11"/>
    </row>
    <row r="19" spans="1:12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9"/>
      <c r="B20" s="10"/>
      <c r="C20" s="27" t="s">
        <v>15</v>
      </c>
      <c r="D20" s="27"/>
      <c r="E20" s="27"/>
      <c r="F20" s="27"/>
      <c r="G20" s="27"/>
      <c r="H20" s="10"/>
      <c r="I20" s="10"/>
      <c r="J20" s="10"/>
      <c r="K20" s="10"/>
      <c r="L20" s="11"/>
    </row>
    <row r="21" spans="1:12" ht="12.75">
      <c r="A21" s="9"/>
      <c r="B21" s="10"/>
      <c r="C21" s="2">
        <f>E21-10%</f>
        <v>0.19999999999999998</v>
      </c>
      <c r="D21" s="2">
        <f>E21-5%</f>
        <v>0.25</v>
      </c>
      <c r="E21" s="2">
        <f>G15</f>
        <v>0.3</v>
      </c>
      <c r="F21" s="2">
        <f>E21+5%</f>
        <v>0.35</v>
      </c>
      <c r="G21" s="2">
        <f>E21+10%</f>
        <v>0.4</v>
      </c>
      <c r="H21" s="10"/>
      <c r="I21" s="10"/>
      <c r="J21" s="10"/>
      <c r="K21" s="10"/>
      <c r="L21" s="11"/>
    </row>
    <row r="22" spans="1:12" ht="12.75">
      <c r="A22" s="19" t="s">
        <v>8</v>
      </c>
      <c r="B22" s="1">
        <f>B24-4%</f>
        <v>0.1</v>
      </c>
      <c r="C22" s="23">
        <f aca="true" t="shared" si="0" ref="C22:E26">($G$12*C$21*($G$14+9.3)/12)*(1/(1-(($B22/12)*($G$14+9.3))))</f>
        <v>55.319148936170215</v>
      </c>
      <c r="D22" s="23">
        <f t="shared" si="0"/>
        <v>69.14893617021276</v>
      </c>
      <c r="E22" s="23">
        <f t="shared" si="0"/>
        <v>82.97872340425532</v>
      </c>
      <c r="F22" s="23">
        <f aca="true" t="shared" si="1" ref="F22:G26">($G$12*F$21*($G$14+9.3)/12)*(1/(1-(($B22/12)*($G$14+9.3))))</f>
        <v>96.80851063829788</v>
      </c>
      <c r="G22" s="23">
        <f t="shared" si="1"/>
        <v>110.63829787234043</v>
      </c>
      <c r="H22" s="10"/>
      <c r="I22" s="17"/>
      <c r="J22" s="10"/>
      <c r="K22" s="10"/>
      <c r="L22" s="11"/>
    </row>
    <row r="23" spans="1:12" ht="12.75">
      <c r="A23" s="19" t="s">
        <v>7</v>
      </c>
      <c r="B23" s="1">
        <f>B24-2%</f>
        <v>0.12000000000000001</v>
      </c>
      <c r="C23" s="23">
        <f t="shared" si="0"/>
        <v>58.55855855855856</v>
      </c>
      <c r="D23" s="23">
        <f t="shared" si="0"/>
        <v>73.1981981981982</v>
      </c>
      <c r="E23" s="23">
        <f t="shared" si="0"/>
        <v>87.83783783783784</v>
      </c>
      <c r="F23" s="23">
        <f t="shared" si="1"/>
        <v>102.47747747747746</v>
      </c>
      <c r="G23" s="23">
        <f t="shared" si="1"/>
        <v>117.11711711711712</v>
      </c>
      <c r="H23" s="10"/>
      <c r="I23" s="10"/>
      <c r="J23" s="10"/>
      <c r="K23" s="10"/>
      <c r="L23" s="11"/>
    </row>
    <row r="24" spans="1:12" ht="12.75">
      <c r="A24" s="19" t="s">
        <v>9</v>
      </c>
      <c r="B24" s="1">
        <f>G13</f>
        <v>0.14</v>
      </c>
      <c r="C24" s="23">
        <f t="shared" si="0"/>
        <v>62.20095693779904</v>
      </c>
      <c r="D24" s="23">
        <f t="shared" si="0"/>
        <v>77.7511961722488</v>
      </c>
      <c r="E24" s="24">
        <f>($G$12*E$21*($G$14+9.3)/12)*(1/(1-(($B24/12)*($G$14+9.3))))</f>
        <v>93.30143540669856</v>
      </c>
      <c r="F24" s="23">
        <f t="shared" si="1"/>
        <v>108.85167464114832</v>
      </c>
      <c r="G24" s="23">
        <f t="shared" si="1"/>
        <v>124.40191387559808</v>
      </c>
      <c r="H24" s="10"/>
      <c r="I24" s="10"/>
      <c r="J24" s="10"/>
      <c r="K24" s="10"/>
      <c r="L24" s="11"/>
    </row>
    <row r="25" spans="1:12" ht="12.75">
      <c r="A25" s="19" t="s">
        <v>10</v>
      </c>
      <c r="B25" s="1">
        <f>B24+2%</f>
        <v>0.16</v>
      </c>
      <c r="C25" s="23">
        <f t="shared" si="0"/>
        <v>66.3265306122449</v>
      </c>
      <c r="D25" s="23">
        <f t="shared" si="0"/>
        <v>82.90816326530611</v>
      </c>
      <c r="E25" s="23">
        <f t="shared" si="0"/>
        <v>99.48979591836734</v>
      </c>
      <c r="F25" s="23">
        <f t="shared" si="1"/>
        <v>116.07142857142856</v>
      </c>
      <c r="G25" s="23">
        <f t="shared" si="1"/>
        <v>132.6530612244898</v>
      </c>
      <c r="H25" s="10"/>
      <c r="I25" s="10"/>
      <c r="J25" s="10"/>
      <c r="K25" s="10"/>
      <c r="L25" s="11"/>
    </row>
    <row r="26" spans="1:12" ht="12.75">
      <c r="A26" s="19"/>
      <c r="B26" s="1">
        <f>B24+4%</f>
        <v>0.18000000000000002</v>
      </c>
      <c r="C26" s="23">
        <f t="shared" si="0"/>
        <v>71.03825136612022</v>
      </c>
      <c r="D26" s="23">
        <f t="shared" si="0"/>
        <v>88.79781420765028</v>
      </c>
      <c r="E26" s="23">
        <f t="shared" si="0"/>
        <v>106.55737704918033</v>
      </c>
      <c r="F26" s="23">
        <f t="shared" si="1"/>
        <v>124.31693989071037</v>
      </c>
      <c r="G26" s="23">
        <f t="shared" si="1"/>
        <v>142.07650273224044</v>
      </c>
      <c r="H26" s="10"/>
      <c r="I26" s="10"/>
      <c r="J26" s="10"/>
      <c r="K26" s="10"/>
      <c r="L26" s="11"/>
    </row>
    <row r="27" spans="1:12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2.75">
      <c r="A29" s="9"/>
      <c r="B29" s="10"/>
      <c r="C29" s="27" t="s">
        <v>11</v>
      </c>
      <c r="D29" s="27"/>
      <c r="E29" s="27"/>
      <c r="F29" s="27"/>
      <c r="G29" s="27"/>
      <c r="H29" s="10"/>
      <c r="I29" s="10"/>
      <c r="J29" s="10"/>
      <c r="K29" s="10"/>
      <c r="L29" s="11"/>
    </row>
    <row r="30" spans="1:12" ht="12.75">
      <c r="A30" s="9"/>
      <c r="B30" s="10"/>
      <c r="C30" s="2">
        <f>E30-10%</f>
        <v>0.19999999999999998</v>
      </c>
      <c r="D30" s="2">
        <f>E30-5%</f>
        <v>0.25</v>
      </c>
      <c r="E30" s="2">
        <f>G15</f>
        <v>0.3</v>
      </c>
      <c r="F30" s="2">
        <f>E30+5%</f>
        <v>0.35</v>
      </c>
      <c r="G30" s="2">
        <f>E30+10%</f>
        <v>0.4</v>
      </c>
      <c r="H30" s="10"/>
      <c r="I30" s="10"/>
      <c r="J30" s="10"/>
      <c r="K30" s="10"/>
      <c r="L30" s="11"/>
    </row>
    <row r="31" spans="1:12" ht="12.75">
      <c r="A31" s="19" t="s">
        <v>12</v>
      </c>
      <c r="B31" s="22">
        <f>B33-4</f>
        <v>12.7</v>
      </c>
      <c r="C31" s="23">
        <f aca="true" t="shared" si="2" ref="C31:E35">($G$12*C$30*($B31+9.3)/12)*(1/(1-(($G$13/12)*($B31+9.3))))</f>
        <v>49.32735426008968</v>
      </c>
      <c r="D31" s="23">
        <f t="shared" si="2"/>
        <v>61.65919282511211</v>
      </c>
      <c r="E31" s="23">
        <f t="shared" si="2"/>
        <v>73.99103139013452</v>
      </c>
      <c r="F31" s="23">
        <f aca="true" t="shared" si="3" ref="F31:G35">($G$12*F$30*($B31+9.3)/12)*(1/(1-(($G$13/12)*($B31+9.3))))</f>
        <v>86.32286995515695</v>
      </c>
      <c r="G31" s="23">
        <f t="shared" si="3"/>
        <v>98.65470852017935</v>
      </c>
      <c r="H31" s="10"/>
      <c r="I31" s="10"/>
      <c r="J31" s="10"/>
      <c r="K31" s="10"/>
      <c r="L31" s="11"/>
    </row>
    <row r="32" spans="1:12" ht="12.75">
      <c r="A32" s="19" t="s">
        <v>13</v>
      </c>
      <c r="B32" s="22">
        <f>B33-2</f>
        <v>14.7</v>
      </c>
      <c r="C32" s="23">
        <f t="shared" si="2"/>
        <v>55.55555555555556</v>
      </c>
      <c r="D32" s="23">
        <f t="shared" si="2"/>
        <v>69.44444444444444</v>
      </c>
      <c r="E32" s="23">
        <f t="shared" si="2"/>
        <v>83.33333333333333</v>
      </c>
      <c r="F32" s="23">
        <f t="shared" si="3"/>
        <v>97.22222222222221</v>
      </c>
      <c r="G32" s="23">
        <f t="shared" si="3"/>
        <v>111.11111111111111</v>
      </c>
      <c r="H32" s="10"/>
      <c r="I32" s="10"/>
      <c r="J32" s="10"/>
      <c r="K32" s="10"/>
      <c r="L32" s="11"/>
    </row>
    <row r="33" spans="1:12" ht="12.75">
      <c r="A33" s="19" t="s">
        <v>17</v>
      </c>
      <c r="B33" s="22">
        <f>G14</f>
        <v>16.7</v>
      </c>
      <c r="C33" s="23">
        <f t="shared" si="2"/>
        <v>62.20095693779904</v>
      </c>
      <c r="D33" s="23">
        <f t="shared" si="2"/>
        <v>77.7511961722488</v>
      </c>
      <c r="E33" s="24">
        <f t="shared" si="2"/>
        <v>93.30143540669856</v>
      </c>
      <c r="F33" s="23">
        <f t="shared" si="3"/>
        <v>108.85167464114832</v>
      </c>
      <c r="G33" s="23">
        <f t="shared" si="3"/>
        <v>124.40191387559808</v>
      </c>
      <c r="H33" s="10"/>
      <c r="I33" s="10"/>
      <c r="J33" s="10"/>
      <c r="K33" s="10"/>
      <c r="L33" s="11"/>
    </row>
    <row r="34" spans="1:12" ht="12.75">
      <c r="A34" s="19" t="s">
        <v>3</v>
      </c>
      <c r="B34" s="22">
        <f>B33+2</f>
        <v>18.7</v>
      </c>
      <c r="C34" s="23">
        <f t="shared" si="2"/>
        <v>69.3069306930693</v>
      </c>
      <c r="D34" s="23">
        <f t="shared" si="2"/>
        <v>86.63366336633663</v>
      </c>
      <c r="E34" s="23">
        <f t="shared" si="2"/>
        <v>103.96039603960396</v>
      </c>
      <c r="F34" s="23">
        <f t="shared" si="3"/>
        <v>121.2871287128713</v>
      </c>
      <c r="G34" s="23">
        <f t="shared" si="3"/>
        <v>138.6138613861386</v>
      </c>
      <c r="H34" s="10"/>
      <c r="I34" s="10"/>
      <c r="J34" s="10"/>
      <c r="K34" s="10"/>
      <c r="L34" s="11"/>
    </row>
    <row r="35" spans="2:12" ht="12.75">
      <c r="B35" s="22">
        <f>B33+4</f>
        <v>20.7</v>
      </c>
      <c r="C35" s="23">
        <f t="shared" si="2"/>
        <v>76.92307692307693</v>
      </c>
      <c r="D35" s="23">
        <f t="shared" si="2"/>
        <v>96.15384615384617</v>
      </c>
      <c r="E35" s="23">
        <f t="shared" si="2"/>
        <v>115.3846153846154</v>
      </c>
      <c r="F35" s="23">
        <f t="shared" si="3"/>
        <v>134.61538461538464</v>
      </c>
      <c r="G35" s="23">
        <f t="shared" si="3"/>
        <v>153.84615384615387</v>
      </c>
      <c r="H35" s="10"/>
      <c r="I35" s="10"/>
      <c r="J35" s="10"/>
      <c r="K35" s="10"/>
      <c r="L35" s="11"/>
    </row>
    <row r="36" spans="1:12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2.75">
      <c r="A38" s="9"/>
      <c r="B38" s="10"/>
      <c r="C38" s="27" t="s">
        <v>1</v>
      </c>
      <c r="D38" s="27"/>
      <c r="E38" s="27"/>
      <c r="F38" s="27"/>
      <c r="G38" s="27"/>
      <c r="H38" s="10"/>
      <c r="I38" s="10"/>
      <c r="J38" s="10"/>
      <c r="K38" s="10"/>
      <c r="L38" s="11"/>
    </row>
    <row r="39" spans="1:12" ht="12.75">
      <c r="A39" s="9"/>
      <c r="B39" s="10"/>
      <c r="C39" s="1">
        <f>E39-4%</f>
        <v>0.1</v>
      </c>
      <c r="D39" s="1">
        <f>E39-2%</f>
        <v>0.12000000000000001</v>
      </c>
      <c r="E39" s="1">
        <f>G13</f>
        <v>0.14</v>
      </c>
      <c r="F39" s="1">
        <f>E39+2%</f>
        <v>0.16</v>
      </c>
      <c r="G39" s="1">
        <f>E39+4%</f>
        <v>0.18000000000000002</v>
      </c>
      <c r="H39" s="10"/>
      <c r="I39" s="10"/>
      <c r="J39" s="10"/>
      <c r="K39" s="10"/>
      <c r="L39" s="11"/>
    </row>
    <row r="40" spans="1:12" ht="12.75">
      <c r="A40" s="19" t="s">
        <v>12</v>
      </c>
      <c r="B40" s="22">
        <f>B42-4</f>
        <v>12.7</v>
      </c>
      <c r="C40" s="23">
        <f aca="true" t="shared" si="4" ref="C40:E44">($G$12*C$30*($B40+9.3)/12)*(1/(1-((C$39/12)*($B40+9.3))))</f>
        <v>44.897959183673464</v>
      </c>
      <c r="D40" s="23">
        <f t="shared" si="4"/>
        <v>58.76068376068376</v>
      </c>
      <c r="E40" s="23">
        <f t="shared" si="4"/>
        <v>73.99103139013452</v>
      </c>
      <c r="F40" s="23">
        <f aca="true" t="shared" si="5" ref="F40:G44">($G$12*F$30*($B40+9.3)/12)*(1/(1-((F$39/12)*($B40+9.3))))</f>
        <v>90.80188679245283</v>
      </c>
      <c r="G40" s="23">
        <f t="shared" si="5"/>
        <v>109.45273631840796</v>
      </c>
      <c r="H40" s="10"/>
      <c r="I40" s="10"/>
      <c r="J40" s="10"/>
      <c r="K40" s="10"/>
      <c r="L40" s="11"/>
    </row>
    <row r="41" spans="1:12" ht="12.75">
      <c r="A41" s="19" t="s">
        <v>13</v>
      </c>
      <c r="B41" s="22">
        <f>B42-2</f>
        <v>14.7</v>
      </c>
      <c r="C41" s="23">
        <f t="shared" si="4"/>
        <v>50</v>
      </c>
      <c r="D41" s="23">
        <f t="shared" si="4"/>
        <v>65.78947368421053</v>
      </c>
      <c r="E41" s="23">
        <f t="shared" si="4"/>
        <v>83.33333333333333</v>
      </c>
      <c r="F41" s="23">
        <f t="shared" si="5"/>
        <v>102.94117647058825</v>
      </c>
      <c r="G41" s="23">
        <f t="shared" si="5"/>
        <v>125.00000000000001</v>
      </c>
      <c r="H41" s="10"/>
      <c r="I41" s="10"/>
      <c r="J41" s="10"/>
      <c r="K41" s="10"/>
      <c r="L41" s="11"/>
    </row>
    <row r="42" spans="1:12" ht="12.75">
      <c r="A42" s="19" t="s">
        <v>18</v>
      </c>
      <c r="B42" s="22">
        <f>G14</f>
        <v>16.7</v>
      </c>
      <c r="C42" s="23">
        <f t="shared" si="4"/>
        <v>55.319148936170215</v>
      </c>
      <c r="D42" s="23">
        <f t="shared" si="4"/>
        <v>73.1981981981982</v>
      </c>
      <c r="E42" s="24">
        <f>($G$12*E$30*($B42+9.3)/12)*(1/(1-((E$39/12)*($B42+9.3))))</f>
        <v>93.30143540669856</v>
      </c>
      <c r="F42" s="23">
        <f t="shared" si="5"/>
        <v>116.07142857142856</v>
      </c>
      <c r="G42" s="23">
        <f t="shared" si="5"/>
        <v>142.07650273224044</v>
      </c>
      <c r="H42" s="10"/>
      <c r="I42" s="10"/>
      <c r="J42" s="10"/>
      <c r="K42" s="10"/>
      <c r="L42" s="11"/>
    </row>
    <row r="43" spans="1:12" ht="12.75">
      <c r="A43" s="19" t="s">
        <v>3</v>
      </c>
      <c r="B43" s="22">
        <f>B42+2</f>
        <v>18.7</v>
      </c>
      <c r="C43" s="23">
        <f t="shared" si="4"/>
        <v>60.869565217391305</v>
      </c>
      <c r="D43" s="23">
        <f t="shared" si="4"/>
        <v>81.01851851851852</v>
      </c>
      <c r="E43" s="23">
        <f>($G$12*E$30*($B43+9.3)/12)*(1/(1-((E$39/12)*($B43+9.3))))</f>
        <v>103.96039603960396</v>
      </c>
      <c r="F43" s="23">
        <f t="shared" si="5"/>
        <v>130.31914893617022</v>
      </c>
      <c r="G43" s="23">
        <f t="shared" si="5"/>
        <v>160.91954022988506</v>
      </c>
      <c r="H43" s="10"/>
      <c r="I43" s="10"/>
      <c r="J43" s="10"/>
      <c r="K43" s="10"/>
      <c r="L43" s="11"/>
    </row>
    <row r="44" spans="2:12" ht="12.75">
      <c r="B44" s="22">
        <f>B42+4</f>
        <v>20.7</v>
      </c>
      <c r="C44" s="23">
        <f t="shared" si="4"/>
        <v>66.66666666666666</v>
      </c>
      <c r="D44" s="23">
        <f t="shared" si="4"/>
        <v>89.28571428571429</v>
      </c>
      <c r="E44" s="23">
        <f>($G$12*E$30*($B44+9.3)/12)*(1/(1-((E$39/12)*($B44+9.3))))</f>
        <v>115.3846153846154</v>
      </c>
      <c r="F44" s="23">
        <f t="shared" si="5"/>
        <v>145.83333333333334</v>
      </c>
      <c r="G44" s="23">
        <f t="shared" si="5"/>
        <v>181.8181818181818</v>
      </c>
      <c r="H44" s="10"/>
      <c r="I44" s="10"/>
      <c r="J44" s="10"/>
      <c r="K44" s="10"/>
      <c r="L44" s="11"/>
    </row>
    <row r="45" spans="1:12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3.5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0"/>
    </row>
  </sheetData>
  <sheetProtection/>
  <mergeCells count="3">
    <mergeCell ref="C20:G20"/>
    <mergeCell ref="C29:G29"/>
    <mergeCell ref="C38:G38"/>
  </mergeCells>
  <printOptions/>
  <pageMargins left="0.75" right="0.75" top="1" bottom="1" header="0.5" footer="0.5"/>
  <pageSetup fitToHeight="1" fitToWidth="1"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Victor E. Cabrera</cp:lastModifiedBy>
  <cp:lastPrinted>2008-08-06T16:12:23Z</cp:lastPrinted>
  <dcterms:created xsi:type="dcterms:W3CDTF">2008-07-17T20:36:47Z</dcterms:created>
  <dcterms:modified xsi:type="dcterms:W3CDTF">2017-11-21T23:17:27Z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